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Расчёт финансового потока" sheetId="10" r:id="rId1"/>
    <sheet name="Затраты на оснащение" sheetId="3" r:id="rId2"/>
    <sheet name="Расчет месячной выручки" sheetId="1" r:id="rId3"/>
    <sheet name="Расчёт чистой прибыли" sheetId="5" r:id="rId4"/>
    <sheet name="ТБ стационарного кабинета" sheetId="7" r:id="rId5"/>
    <sheet name="ТБ на выезде" sheetId="8" r:id="rId6"/>
  </sheets>
  <calcPr calcId="125725"/>
</workbook>
</file>

<file path=xl/calcChain.xml><?xml version="1.0" encoding="utf-8"?>
<calcChain xmlns="http://schemas.openxmlformats.org/spreadsheetml/2006/main">
  <c r="K10" i="10"/>
  <c r="L10"/>
  <c r="M10"/>
  <c r="N10"/>
  <c r="J10"/>
  <c r="I10"/>
  <c r="H10"/>
  <c r="G10"/>
  <c r="F10"/>
  <c r="E10"/>
  <c r="D10"/>
  <c r="C10"/>
  <c r="C11" s="1"/>
  <c r="C21" i="8"/>
  <c r="C18"/>
  <c r="C13"/>
  <c r="C8"/>
  <c r="C27" s="1"/>
  <c r="C21" i="7"/>
  <c r="C18"/>
  <c r="C13"/>
  <c r="C8"/>
  <c r="C27" s="1"/>
  <c r="C13" i="5"/>
  <c r="C8"/>
  <c r="C11" s="1"/>
  <c r="C32" s="1"/>
  <c r="C18"/>
  <c r="C21"/>
  <c r="C18" i="3"/>
  <c r="I5" i="1"/>
  <c r="L5" s="1"/>
  <c r="M5" s="1"/>
  <c r="I6"/>
  <c r="L6" s="1"/>
  <c r="M6" s="1"/>
  <c r="D11" i="10" l="1"/>
  <c r="E11" s="1"/>
  <c r="F11" s="1"/>
  <c r="G11" s="1"/>
  <c r="H11" s="1"/>
  <c r="I11" s="1"/>
  <c r="J11" s="1"/>
  <c r="K11" s="1"/>
  <c r="L11" s="1"/>
  <c r="M11" s="1"/>
  <c r="N11" s="1"/>
  <c r="C26" i="5"/>
  <c r="C26" i="8"/>
  <c r="C28" s="1"/>
  <c r="C11"/>
  <c r="C32" s="1"/>
  <c r="C24"/>
  <c r="C16"/>
  <c r="C22" s="1"/>
  <c r="C25"/>
  <c r="C11" i="7"/>
  <c r="C16" s="1"/>
  <c r="C22" s="1"/>
  <c r="C24"/>
  <c r="C26"/>
  <c r="C28" s="1"/>
  <c r="C32"/>
  <c r="C25"/>
  <c r="C29"/>
  <c r="C25" i="5"/>
  <c r="C28"/>
  <c r="C24"/>
  <c r="C27"/>
  <c r="C16"/>
  <c r="C29"/>
  <c r="C22"/>
  <c r="K5" i="1"/>
  <c r="L7"/>
  <c r="M7"/>
  <c r="K6"/>
  <c r="C30" i="5" l="1"/>
  <c r="C31" s="1"/>
  <c r="C33" s="1"/>
  <c r="C34" s="1"/>
  <c r="C29" i="8"/>
  <c r="C30" s="1"/>
  <c r="C31" s="1"/>
  <c r="C33" s="1"/>
  <c r="C34" s="1"/>
  <c r="C30" i="7"/>
  <c r="C31" s="1"/>
  <c r="C33" s="1"/>
  <c r="C34" s="1"/>
  <c r="K7" i="1"/>
</calcChain>
</file>

<file path=xl/sharedStrings.xml><?xml version="1.0" encoding="utf-8"?>
<sst xmlns="http://schemas.openxmlformats.org/spreadsheetml/2006/main" count="197" uniqueCount="93">
  <si>
    <t>Амортизация оборудования</t>
  </si>
  <si>
    <t>Кушетка</t>
  </si>
  <si>
    <t>Кресло</t>
  </si>
  <si>
    <t>Количество п.е. на сеанс</t>
  </si>
  <si>
    <t>Рабочее время, час</t>
  </si>
  <si>
    <t>Кол-во</t>
  </si>
  <si>
    <t>Средняя загрузка оздоровительного центра, %</t>
  </si>
  <si>
    <t>Стоимость услуги на 1 п.е.</t>
  </si>
  <si>
    <t>Кол-во рабочих дней</t>
  </si>
  <si>
    <t>Выручка в день, руб.</t>
  </si>
  <si>
    <t>Выручка в месяц, руб.</t>
  </si>
  <si>
    <t>ИТОГО:</t>
  </si>
  <si>
    <t>Перевязочный материал</t>
  </si>
  <si>
    <t>Заработная плата</t>
  </si>
  <si>
    <t>Реклама</t>
  </si>
  <si>
    <t>Холодильник</t>
  </si>
  <si>
    <t>Количество поставленных п.е. за рабочий день, шт</t>
  </si>
  <si>
    <t>Кол-во поставленных п.е. за месяц</t>
  </si>
  <si>
    <t>Чистая прибыль:</t>
  </si>
  <si>
    <t>Ширма</t>
  </si>
  <si>
    <t>Манипуляционный столик</t>
  </si>
  <si>
    <t>Кулер</t>
  </si>
  <si>
    <t>Офисная мебель</t>
  </si>
  <si>
    <t>Магнитофон</t>
  </si>
  <si>
    <t>Игрушки</t>
  </si>
  <si>
    <t>Литература</t>
  </si>
  <si>
    <t>Аренда помещения за 1-ый месяц</t>
  </si>
  <si>
    <t>Затраты на оснащение оздоровительного кабинета</t>
  </si>
  <si>
    <t>Наименование</t>
  </si>
  <si>
    <t>Стоимость, руб.</t>
  </si>
  <si>
    <t>№ п/п</t>
  </si>
  <si>
    <t>Время проведения одного сеанса, час</t>
  </si>
  <si>
    <t>п.е. - пиявочная единица</t>
  </si>
  <si>
    <t>Обучение</t>
  </si>
  <si>
    <t>Сайт</t>
  </si>
  <si>
    <t>Среднемесячная выручка</t>
  </si>
  <si>
    <t>На чем проводится сеанс</t>
  </si>
  <si>
    <t>Аренда помещения</t>
  </si>
  <si>
    <t>Обслуживание сайта</t>
  </si>
  <si>
    <t>Количество поставленных п.е.</t>
  </si>
  <si>
    <t>Затраты на приобретение п.е.</t>
  </si>
  <si>
    <t>Затраты на оснащение</t>
  </si>
  <si>
    <t>Обязательные взносы ПФ и ФСС</t>
  </si>
  <si>
    <t>Дополнительный взнос 1% при годовом доходе свыше 300000 руб.</t>
  </si>
  <si>
    <t>Прибыль до налогообложения</t>
  </si>
  <si>
    <t>Единый налог 6%</t>
  </si>
  <si>
    <t>Представительские расходы (чай, вода, кофнеты)</t>
  </si>
  <si>
    <t>Отчисления в ПФ и ФСС по начисленной заработной плате</t>
  </si>
  <si>
    <t>Рентабельность</t>
  </si>
  <si>
    <t>ГСМ, проезд</t>
  </si>
  <si>
    <t>Наименование статьи</t>
  </si>
  <si>
    <t>Гибель п.е.</t>
  </si>
  <si>
    <t>Стоимость 1 п.е. на сеансе</t>
  </si>
  <si>
    <t>Расчёт среднемесячной чистой прибыли</t>
  </si>
  <si>
    <t>Закупочная стоимость 1 п.е.</t>
  </si>
  <si>
    <t>Затраты перевязочного материала на 1 п.е.</t>
  </si>
  <si>
    <t>Загрузка оздоровительного кабинета</t>
  </si>
  <si>
    <t>10.1</t>
  </si>
  <si>
    <t>10.2</t>
  </si>
  <si>
    <t>10.3</t>
  </si>
  <si>
    <t>10.4</t>
  </si>
  <si>
    <t>10.5</t>
  </si>
  <si>
    <t>10.6</t>
  </si>
  <si>
    <t>Оплата труда за 1 п.е.</t>
  </si>
  <si>
    <t>10.7</t>
  </si>
  <si>
    <t>11.1</t>
  </si>
  <si>
    <t>11.2</t>
  </si>
  <si>
    <t>11.3</t>
  </si>
  <si>
    <t>11.4</t>
  </si>
  <si>
    <t>11.5</t>
  </si>
  <si>
    <t>11.6</t>
  </si>
  <si>
    <t>Постоянные затраты</t>
  </si>
  <si>
    <t>Переменные затраты</t>
  </si>
  <si>
    <t>Расчётчтоки безубыточности стационарного оздоровительного кабинета</t>
  </si>
  <si>
    <t xml:space="preserve"> - это 2 пациента в день</t>
  </si>
  <si>
    <t xml:space="preserve">Загрузка </t>
  </si>
  <si>
    <t>стоимость 1 п.е. на выезде дороже</t>
  </si>
  <si>
    <t>Вместо полноценного кабинета можно использовать небольшой офис</t>
  </si>
  <si>
    <t>Представительские расходы не нужны</t>
  </si>
  <si>
    <t>Но нужно  больше тратить ГСМ</t>
  </si>
  <si>
    <t>Расчёт точки безубыточности при работе на выезде</t>
  </si>
  <si>
    <t>Приобретать все оснащение нет необходимости</t>
  </si>
  <si>
    <t>Сумма, руб.</t>
  </si>
  <si>
    <t>Наименование/месяц</t>
  </si>
  <si>
    <t>Расчёт финансового потока оздоровительного кабинета</t>
  </si>
  <si>
    <t>Расчет среднемесячной выручки оздоровительного кабинета (центра)</t>
  </si>
  <si>
    <t>Достаточно обслуживать одного клиента в день</t>
  </si>
  <si>
    <t>Собственные/заёмные средства, руб.</t>
  </si>
  <si>
    <t>Затраты, руб.</t>
  </si>
  <si>
    <t>Выручка, руб.</t>
  </si>
  <si>
    <t>Чистая прибыль/убыток, руб.</t>
  </si>
  <si>
    <t>Затраты на оснащение, руб.</t>
  </si>
  <si>
    <t>Стоимость 1 п.е. на сеансе, 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</si>
</sst>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49" fontId="3" fillId="0" borderId="7" xfId="0" applyNumberFormat="1" applyFont="1" applyBorder="1" applyAlignment="1">
      <alignment horizontal="right" wrapText="1"/>
    </xf>
    <xf numFmtId="0" fontId="3" fillId="3" borderId="7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3" fillId="4" borderId="7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9" fontId="0" fillId="3" borderId="8" xfId="0" applyNumberFormat="1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right" vertical="center" wrapText="1"/>
    </xf>
    <xf numFmtId="2" fontId="2" fillId="3" borderId="15" xfId="0" applyNumberFormat="1" applyFont="1" applyFill="1" applyBorder="1" applyAlignment="1">
      <alignment horizontal="right" vertical="center" wrapText="1"/>
    </xf>
    <xf numFmtId="10" fontId="2" fillId="3" borderId="16" xfId="0" applyNumberFormat="1" applyFont="1" applyFill="1" applyBorder="1" applyAlignment="1">
      <alignment horizontal="right" vertical="center" wrapText="1"/>
    </xf>
    <xf numFmtId="10" fontId="2" fillId="3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9" fontId="3" fillId="0" borderId="8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10" fontId="3" fillId="0" borderId="8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right" vertical="center" wrapText="1"/>
    </xf>
    <xf numFmtId="2" fontId="2" fillId="3" borderId="3" xfId="0" applyNumberFormat="1" applyFont="1" applyFill="1" applyBorder="1" applyAlignment="1">
      <alignment horizontal="right" vertical="center" wrapText="1"/>
    </xf>
    <xf numFmtId="10" fontId="2" fillId="3" borderId="2" xfId="0" applyNumberFormat="1" applyFont="1" applyFill="1" applyBorder="1" applyAlignment="1">
      <alignment horizontal="right" vertical="center" wrapText="1"/>
    </xf>
    <xf numFmtId="10" fontId="2" fillId="3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C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C12" sqref="C12"/>
    </sheetView>
  </sheetViews>
  <sheetFormatPr defaultRowHeight="15"/>
  <cols>
    <col min="1" max="1" width="6.140625" customWidth="1"/>
    <col min="2" max="2" width="31" customWidth="1"/>
    <col min="3" max="3" width="7.85546875" customWidth="1"/>
    <col min="4" max="4" width="8" customWidth="1"/>
    <col min="5" max="9" width="7.42578125" customWidth="1"/>
    <col min="10" max="14" width="6.85546875" customWidth="1"/>
  </cols>
  <sheetData>
    <row r="1" spans="1:14" ht="5.25" customHeight="1"/>
    <row r="2" spans="1:14">
      <c r="A2" s="53" t="s">
        <v>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3.75" customHeight="1" thickBot="1"/>
    <row r="4" spans="1:14" ht="30">
      <c r="A4" s="42" t="s">
        <v>30</v>
      </c>
      <c r="B4" s="43" t="s">
        <v>83</v>
      </c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4">
        <v>11</v>
      </c>
      <c r="N4" s="45">
        <v>12</v>
      </c>
    </row>
    <row r="5" spans="1:14">
      <c r="A5" s="46">
        <v>1</v>
      </c>
      <c r="B5" s="38" t="s">
        <v>92</v>
      </c>
      <c r="C5" s="3">
        <v>120</v>
      </c>
      <c r="D5" s="3">
        <v>120</v>
      </c>
      <c r="E5" s="3">
        <v>120</v>
      </c>
      <c r="F5" s="3">
        <v>120</v>
      </c>
      <c r="G5" s="3">
        <v>150</v>
      </c>
      <c r="H5" s="3">
        <v>150</v>
      </c>
      <c r="I5" s="3">
        <v>150</v>
      </c>
      <c r="J5" s="3">
        <v>150</v>
      </c>
      <c r="K5" s="3">
        <v>150</v>
      </c>
      <c r="L5" s="3">
        <v>150</v>
      </c>
      <c r="M5" s="40">
        <v>150</v>
      </c>
      <c r="N5" s="47">
        <v>150</v>
      </c>
    </row>
    <row r="6" spans="1:14">
      <c r="A6" s="46">
        <v>2</v>
      </c>
      <c r="B6" s="38" t="s">
        <v>91</v>
      </c>
      <c r="C6" s="3">
        <v>-143500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0">
        <v>0</v>
      </c>
      <c r="N6" s="47">
        <v>0</v>
      </c>
    </row>
    <row r="7" spans="1:14" ht="30">
      <c r="A7" s="46">
        <v>3</v>
      </c>
      <c r="B7" s="38" t="s">
        <v>56</v>
      </c>
      <c r="C7" s="39">
        <v>0.05</v>
      </c>
      <c r="D7" s="39">
        <v>7.0000000000000007E-2</v>
      </c>
      <c r="E7" s="39">
        <v>0.1</v>
      </c>
      <c r="F7" s="39">
        <v>0.15</v>
      </c>
      <c r="G7" s="39">
        <v>0.2</v>
      </c>
      <c r="H7" s="39">
        <v>0.25</v>
      </c>
      <c r="I7" s="39">
        <v>0.3</v>
      </c>
      <c r="J7" s="39">
        <v>0.4</v>
      </c>
      <c r="K7" s="39">
        <v>0.4</v>
      </c>
      <c r="L7" s="39">
        <v>0.4</v>
      </c>
      <c r="M7" s="41">
        <v>0.4</v>
      </c>
      <c r="N7" s="48">
        <v>0.4</v>
      </c>
    </row>
    <row r="8" spans="1:14">
      <c r="A8" s="46">
        <v>4</v>
      </c>
      <c r="B8" s="38" t="s">
        <v>89</v>
      </c>
      <c r="C8" s="3">
        <v>21840</v>
      </c>
      <c r="D8" s="3">
        <v>30576</v>
      </c>
      <c r="E8" s="3">
        <v>43680</v>
      </c>
      <c r="F8" s="3">
        <v>65520</v>
      </c>
      <c r="G8" s="3">
        <v>109200</v>
      </c>
      <c r="H8" s="3">
        <v>136500</v>
      </c>
      <c r="I8" s="3">
        <v>163800</v>
      </c>
      <c r="J8" s="3">
        <v>218400</v>
      </c>
      <c r="K8" s="3">
        <v>218400</v>
      </c>
      <c r="L8" s="3">
        <v>218400</v>
      </c>
      <c r="M8" s="40">
        <v>218400</v>
      </c>
      <c r="N8" s="47">
        <v>218400</v>
      </c>
    </row>
    <row r="9" spans="1:14">
      <c r="A9" s="46">
        <v>5</v>
      </c>
      <c r="B9" s="38" t="s">
        <v>88</v>
      </c>
      <c r="C9" s="3">
        <v>38706.223333333335</v>
      </c>
      <c r="D9" s="3">
        <v>45860</v>
      </c>
      <c r="E9" s="3">
        <v>56591</v>
      </c>
      <c r="F9" s="3">
        <v>74476</v>
      </c>
      <c r="G9" s="3">
        <v>97903</v>
      </c>
      <c r="H9" s="3">
        <v>117174</v>
      </c>
      <c r="I9" s="3">
        <v>136444</v>
      </c>
      <c r="J9" s="3">
        <v>174986</v>
      </c>
      <c r="K9" s="3">
        <v>174986</v>
      </c>
      <c r="L9" s="3">
        <v>174986</v>
      </c>
      <c r="M9" s="40">
        <v>174986</v>
      </c>
      <c r="N9" s="47">
        <v>174986</v>
      </c>
    </row>
    <row r="10" spans="1:14">
      <c r="A10" s="46">
        <v>6</v>
      </c>
      <c r="B10" s="38" t="s">
        <v>90</v>
      </c>
      <c r="C10" s="3">
        <f t="shared" ref="C10:J10" si="0">C8-C9</f>
        <v>-16866.223333333335</v>
      </c>
      <c r="D10" s="3">
        <f t="shared" si="0"/>
        <v>-15284</v>
      </c>
      <c r="E10" s="3">
        <f t="shared" si="0"/>
        <v>-12911</v>
      </c>
      <c r="F10" s="3">
        <f t="shared" si="0"/>
        <v>-8956</v>
      </c>
      <c r="G10" s="3">
        <f t="shared" si="0"/>
        <v>11297</v>
      </c>
      <c r="H10" s="3">
        <f t="shared" si="0"/>
        <v>19326</v>
      </c>
      <c r="I10" s="3">
        <f t="shared" si="0"/>
        <v>27356</v>
      </c>
      <c r="J10" s="3">
        <f t="shared" si="0"/>
        <v>43414</v>
      </c>
      <c r="K10" s="3">
        <f t="shared" ref="K10:N10" si="1">K8-K9</f>
        <v>43414</v>
      </c>
      <c r="L10" s="3">
        <f t="shared" si="1"/>
        <v>43414</v>
      </c>
      <c r="M10" s="40">
        <f t="shared" si="1"/>
        <v>43414</v>
      </c>
      <c r="N10" s="47">
        <f t="shared" si="1"/>
        <v>43414</v>
      </c>
    </row>
    <row r="11" spans="1:14" ht="30.75" thickBot="1">
      <c r="A11" s="49">
        <v>7</v>
      </c>
      <c r="B11" s="50" t="s">
        <v>87</v>
      </c>
      <c r="C11" s="13">
        <f>C6+C10</f>
        <v>-160366.22333333333</v>
      </c>
      <c r="D11" s="13">
        <f t="shared" ref="D11:J11" si="2">D10+C11</f>
        <v>-175650.22333333333</v>
      </c>
      <c r="E11" s="13">
        <f t="shared" si="2"/>
        <v>-188561.22333333333</v>
      </c>
      <c r="F11" s="13">
        <f t="shared" si="2"/>
        <v>-197517.22333333333</v>
      </c>
      <c r="G11" s="13">
        <f t="shared" si="2"/>
        <v>-186220.22333333333</v>
      </c>
      <c r="H11" s="13">
        <f t="shared" si="2"/>
        <v>-166894.22333333333</v>
      </c>
      <c r="I11" s="13">
        <f t="shared" si="2"/>
        <v>-139538.22333333333</v>
      </c>
      <c r="J11" s="13">
        <f t="shared" si="2"/>
        <v>-96124.223333333328</v>
      </c>
      <c r="K11" s="13">
        <f t="shared" ref="K11:N11" si="3">K10+J11</f>
        <v>-52710.223333333328</v>
      </c>
      <c r="L11" s="13">
        <f t="shared" si="3"/>
        <v>-9296.2233333333279</v>
      </c>
      <c r="M11" s="51">
        <f t="shared" si="3"/>
        <v>34117.776666666672</v>
      </c>
      <c r="N11" s="52">
        <f t="shared" si="3"/>
        <v>77531.776666666672</v>
      </c>
    </row>
    <row r="14" spans="1:14" ht="27.75" customHeight="1"/>
  </sheetData>
  <mergeCells count="1"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25" sqref="B25"/>
    </sheetView>
  </sheetViews>
  <sheetFormatPr defaultRowHeight="15"/>
  <cols>
    <col min="1" max="1" width="5.5703125" customWidth="1"/>
    <col min="2" max="2" width="32.85546875" customWidth="1"/>
    <col min="3" max="3" width="13.28515625" customWidth="1"/>
  </cols>
  <sheetData>
    <row r="1" spans="1:3">
      <c r="A1" s="56" t="s">
        <v>27</v>
      </c>
      <c r="B1" s="56"/>
      <c r="C1" s="56"/>
    </row>
    <row r="2" spans="1:3" ht="4.5" customHeight="1">
      <c r="A2" s="5"/>
      <c r="B2" s="4"/>
      <c r="C2" s="4"/>
    </row>
    <row r="3" spans="1:3" ht="36.75" customHeight="1">
      <c r="A3" s="2" t="s">
        <v>30</v>
      </c>
      <c r="B3" s="2" t="s">
        <v>28</v>
      </c>
      <c r="C3" s="2" t="s">
        <v>29</v>
      </c>
    </row>
    <row r="4" spans="1:3">
      <c r="A4" s="6">
        <v>1</v>
      </c>
      <c r="B4" s="6" t="s">
        <v>1</v>
      </c>
      <c r="C4" s="7">
        <v>14000</v>
      </c>
    </row>
    <row r="5" spans="1:3">
      <c r="A5" s="6">
        <v>2</v>
      </c>
      <c r="B5" s="6" t="s">
        <v>2</v>
      </c>
      <c r="C5" s="7">
        <v>2500</v>
      </c>
    </row>
    <row r="6" spans="1:3">
      <c r="A6" s="6">
        <v>3</v>
      </c>
      <c r="B6" s="6" t="s">
        <v>19</v>
      </c>
      <c r="C6" s="7">
        <v>3600</v>
      </c>
    </row>
    <row r="7" spans="1:3">
      <c r="A7" s="6">
        <v>4</v>
      </c>
      <c r="B7" s="6" t="s">
        <v>20</v>
      </c>
      <c r="C7" s="7">
        <v>5400</v>
      </c>
    </row>
    <row r="8" spans="1:3">
      <c r="A8" s="6">
        <v>5</v>
      </c>
      <c r="B8" s="6" t="s">
        <v>21</v>
      </c>
      <c r="C8" s="7">
        <v>6500</v>
      </c>
    </row>
    <row r="9" spans="1:3">
      <c r="A9" s="6">
        <v>6</v>
      </c>
      <c r="B9" s="6" t="s">
        <v>22</v>
      </c>
      <c r="C9" s="7">
        <v>25000</v>
      </c>
    </row>
    <row r="10" spans="1:3">
      <c r="A10" s="6">
        <v>7</v>
      </c>
      <c r="B10" s="6" t="s">
        <v>23</v>
      </c>
      <c r="C10" s="7">
        <v>2500</v>
      </c>
    </row>
    <row r="11" spans="1:3">
      <c r="A11" s="6">
        <v>8</v>
      </c>
      <c r="B11" s="6" t="s">
        <v>24</v>
      </c>
      <c r="C11" s="7">
        <v>1500</v>
      </c>
    </row>
    <row r="12" spans="1:3">
      <c r="A12" s="6">
        <v>9</v>
      </c>
      <c r="B12" s="6" t="s">
        <v>15</v>
      </c>
      <c r="C12" s="7">
        <v>13800</v>
      </c>
    </row>
    <row r="13" spans="1:3">
      <c r="A13" s="6">
        <v>10</v>
      </c>
      <c r="B13" s="6" t="s">
        <v>25</v>
      </c>
      <c r="C13" s="7">
        <v>11450</v>
      </c>
    </row>
    <row r="14" spans="1:3">
      <c r="A14" s="6">
        <v>11</v>
      </c>
      <c r="B14" s="6" t="s">
        <v>33</v>
      </c>
      <c r="C14" s="7">
        <v>16000</v>
      </c>
    </row>
    <row r="15" spans="1:3">
      <c r="A15" s="6">
        <v>12</v>
      </c>
      <c r="B15" s="6" t="s">
        <v>14</v>
      </c>
      <c r="C15" s="7">
        <v>10000</v>
      </c>
    </row>
    <row r="16" spans="1:3">
      <c r="A16" s="6">
        <v>13</v>
      </c>
      <c r="B16" s="6" t="s">
        <v>34</v>
      </c>
      <c r="C16" s="7">
        <v>20000</v>
      </c>
    </row>
    <row r="17" spans="1:3" ht="14.25" customHeight="1">
      <c r="A17" s="6">
        <v>14</v>
      </c>
      <c r="B17" s="6" t="s">
        <v>26</v>
      </c>
      <c r="C17" s="7">
        <v>11250</v>
      </c>
    </row>
    <row r="18" spans="1:3">
      <c r="A18" s="54" t="s">
        <v>11</v>
      </c>
      <c r="B18" s="55"/>
      <c r="C18" s="8">
        <f>SUM(C4:C17)</f>
        <v>143500</v>
      </c>
    </row>
  </sheetData>
  <mergeCells count="2">
    <mergeCell ref="A18:B18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H24" sqref="H24"/>
    </sheetView>
  </sheetViews>
  <sheetFormatPr defaultRowHeight="15"/>
  <cols>
    <col min="1" max="1" width="5" customWidth="1"/>
    <col min="2" max="2" width="12.140625" customWidth="1"/>
    <col min="3" max="3" width="7.7109375" customWidth="1"/>
    <col min="4" max="4" width="13.28515625" customWidth="1"/>
    <col min="5" max="5" width="13.42578125" customWidth="1"/>
    <col min="6" max="6" width="12.140625" customWidth="1"/>
    <col min="7" max="7" width="10.42578125" customWidth="1"/>
    <col min="8" max="8" width="18.28515625" customWidth="1"/>
    <col min="9" max="9" width="16.85546875" customWidth="1"/>
    <col min="10" max="11" width="9.28515625" customWidth="1"/>
    <col min="12" max="12" width="9.7109375" customWidth="1"/>
    <col min="13" max="14" width="10.28515625" bestFit="1" customWidth="1"/>
  </cols>
  <sheetData>
    <row r="1" spans="1:13" ht="5.25" customHeight="1"/>
    <row r="2" spans="1:13">
      <c r="A2" s="56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4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3.75">
      <c r="A4" s="10" t="s">
        <v>30</v>
      </c>
      <c r="B4" s="11" t="s">
        <v>36</v>
      </c>
      <c r="C4" s="11" t="s">
        <v>5</v>
      </c>
      <c r="D4" s="11" t="s">
        <v>7</v>
      </c>
      <c r="E4" s="11" t="s">
        <v>3</v>
      </c>
      <c r="F4" s="11" t="s">
        <v>31</v>
      </c>
      <c r="G4" s="11" t="s">
        <v>4</v>
      </c>
      <c r="H4" s="11" t="s">
        <v>6</v>
      </c>
      <c r="I4" s="11" t="s">
        <v>16</v>
      </c>
      <c r="J4" s="11" t="s">
        <v>8</v>
      </c>
      <c r="K4" s="11" t="s">
        <v>17</v>
      </c>
      <c r="L4" s="11" t="s">
        <v>9</v>
      </c>
      <c r="M4" s="12" t="s">
        <v>10</v>
      </c>
    </row>
    <row r="5" spans="1:13">
      <c r="A5" s="14">
        <v>1</v>
      </c>
      <c r="B5" s="6" t="s">
        <v>1</v>
      </c>
      <c r="C5" s="6">
        <v>1</v>
      </c>
      <c r="D5" s="6">
        <v>150</v>
      </c>
      <c r="E5" s="6">
        <v>8</v>
      </c>
      <c r="F5" s="6">
        <v>1</v>
      </c>
      <c r="G5" s="6">
        <v>10</v>
      </c>
      <c r="H5" s="59">
        <v>0.4</v>
      </c>
      <c r="I5" s="15">
        <f>G5*H5*E5*C5</f>
        <v>32</v>
      </c>
      <c r="J5" s="60">
        <v>26</v>
      </c>
      <c r="K5" s="16">
        <f>J5*I5</f>
        <v>832</v>
      </c>
      <c r="L5" s="17">
        <f>I5*D5</f>
        <v>4800</v>
      </c>
      <c r="M5" s="18">
        <f>L5*J5</f>
        <v>124800</v>
      </c>
    </row>
    <row r="6" spans="1:13">
      <c r="A6" s="14">
        <v>2</v>
      </c>
      <c r="B6" s="6" t="s">
        <v>2</v>
      </c>
      <c r="C6" s="6">
        <v>1</v>
      </c>
      <c r="D6" s="6">
        <v>150</v>
      </c>
      <c r="E6" s="6">
        <v>6</v>
      </c>
      <c r="F6" s="6">
        <v>1</v>
      </c>
      <c r="G6" s="6">
        <v>10</v>
      </c>
      <c r="H6" s="59"/>
      <c r="I6" s="15">
        <f>H5*G6*E6*C6</f>
        <v>24</v>
      </c>
      <c r="J6" s="60"/>
      <c r="K6" s="16">
        <f>J5*I6</f>
        <v>624</v>
      </c>
      <c r="L6" s="17">
        <f>I6*D6</f>
        <v>3600</v>
      </c>
      <c r="M6" s="18">
        <f>L6*J5</f>
        <v>93600</v>
      </c>
    </row>
    <row r="7" spans="1:13" ht="15.75" thickBot="1">
      <c r="A7" s="57" t="s">
        <v>11</v>
      </c>
      <c r="B7" s="58"/>
      <c r="C7" s="58"/>
      <c r="D7" s="58"/>
      <c r="E7" s="58"/>
      <c r="F7" s="58"/>
      <c r="G7" s="58"/>
      <c r="H7" s="58"/>
      <c r="I7" s="58"/>
      <c r="J7" s="58"/>
      <c r="K7" s="19">
        <f>K5+K6</f>
        <v>1456</v>
      </c>
      <c r="L7" s="20">
        <f>L5+L6</f>
        <v>8400</v>
      </c>
      <c r="M7" s="21">
        <f>M5+M6</f>
        <v>218400</v>
      </c>
    </row>
    <row r="8" spans="1:13">
      <c r="B8" s="1"/>
      <c r="C8" s="1"/>
      <c r="D8" s="1"/>
      <c r="E8" s="1"/>
      <c r="F8" s="1"/>
      <c r="G8" s="1"/>
      <c r="H8" s="1"/>
      <c r="I8" s="1"/>
      <c r="J8" s="1"/>
      <c r="K8" s="1"/>
    </row>
  </sheetData>
  <mergeCells count="4">
    <mergeCell ref="A7:J7"/>
    <mergeCell ref="H5:H6"/>
    <mergeCell ref="J5:J6"/>
    <mergeCell ref="A2:M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opLeftCell="A19" workbookViewId="0">
      <selection activeCell="D37" sqref="D37"/>
    </sheetView>
  </sheetViews>
  <sheetFormatPr defaultRowHeight="15"/>
  <cols>
    <col min="1" max="1" width="4.85546875" customWidth="1"/>
    <col min="2" max="2" width="29.28515625" customWidth="1"/>
    <col min="3" max="3" width="10.5703125" customWidth="1"/>
    <col min="4" max="4" width="9.85546875" customWidth="1"/>
  </cols>
  <sheetData>
    <row r="1" spans="1:4" ht="5.25" customHeight="1"/>
    <row r="2" spans="1:4">
      <c r="A2" s="56" t="s">
        <v>53</v>
      </c>
      <c r="B2" s="56"/>
      <c r="C2" s="56"/>
      <c r="D2" s="56"/>
    </row>
    <row r="3" spans="1:4" ht="5.25" customHeight="1" thickBot="1"/>
    <row r="4" spans="1:4" ht="27.75" customHeight="1">
      <c r="A4" s="10" t="s">
        <v>30</v>
      </c>
      <c r="B4" s="11" t="s">
        <v>50</v>
      </c>
      <c r="C4" s="81" t="s">
        <v>82</v>
      </c>
      <c r="D4" s="82"/>
    </row>
    <row r="5" spans="1:4">
      <c r="A5" s="31">
        <v>1</v>
      </c>
      <c r="B5" s="6" t="s">
        <v>52</v>
      </c>
      <c r="C5" s="75">
        <v>150</v>
      </c>
      <c r="D5" s="76"/>
    </row>
    <row r="6" spans="1:4">
      <c r="A6" s="31">
        <v>2</v>
      </c>
      <c r="B6" s="6" t="s">
        <v>54</v>
      </c>
      <c r="C6" s="75">
        <v>58</v>
      </c>
      <c r="D6" s="76"/>
    </row>
    <row r="7" spans="1:4" ht="26.25">
      <c r="A7" s="31">
        <v>3</v>
      </c>
      <c r="B7" s="6" t="s">
        <v>55</v>
      </c>
      <c r="C7" s="75">
        <v>7.5</v>
      </c>
      <c r="D7" s="76"/>
    </row>
    <row r="8" spans="1:4">
      <c r="A8" s="31">
        <v>4</v>
      </c>
      <c r="B8" s="6" t="s">
        <v>39</v>
      </c>
      <c r="C8" s="85">
        <f>10*14*C9*C10</f>
        <v>1456</v>
      </c>
      <c r="D8" s="86"/>
    </row>
    <row r="9" spans="1:4">
      <c r="A9" s="31">
        <v>5</v>
      </c>
      <c r="B9" s="6" t="s">
        <v>8</v>
      </c>
      <c r="C9" s="85">
        <v>26</v>
      </c>
      <c r="D9" s="86"/>
    </row>
    <row r="10" spans="1:4" ht="26.25">
      <c r="A10" s="31">
        <v>6</v>
      </c>
      <c r="B10" s="6" t="s">
        <v>56</v>
      </c>
      <c r="C10" s="77">
        <v>0.4</v>
      </c>
      <c r="D10" s="78"/>
    </row>
    <row r="11" spans="1:4">
      <c r="A11" s="31">
        <v>7</v>
      </c>
      <c r="B11" s="6" t="s">
        <v>35</v>
      </c>
      <c r="C11" s="75">
        <f>C8*C5</f>
        <v>218400</v>
      </c>
      <c r="D11" s="76"/>
    </row>
    <row r="12" spans="1:4">
      <c r="A12" s="31">
        <v>8</v>
      </c>
      <c r="B12" s="6" t="s">
        <v>41</v>
      </c>
      <c r="C12" s="75">
        <v>143500</v>
      </c>
      <c r="D12" s="76"/>
    </row>
    <row r="13" spans="1:4" ht="27.75" customHeight="1">
      <c r="A13" s="31">
        <v>9</v>
      </c>
      <c r="B13" s="26" t="s">
        <v>63</v>
      </c>
      <c r="C13" s="79">
        <f>12.5%</f>
        <v>0.125</v>
      </c>
      <c r="D13" s="80"/>
    </row>
    <row r="14" spans="1:4">
      <c r="A14" s="32">
        <v>10</v>
      </c>
      <c r="B14" s="70" t="s">
        <v>71</v>
      </c>
      <c r="C14" s="71"/>
      <c r="D14" s="72"/>
    </row>
    <row r="15" spans="1:4">
      <c r="A15" s="33" t="s">
        <v>57</v>
      </c>
      <c r="B15" s="6" t="s">
        <v>37</v>
      </c>
      <c r="C15" s="73">
        <v>11250</v>
      </c>
      <c r="D15" s="74"/>
    </row>
    <row r="16" spans="1:4">
      <c r="A16" s="33" t="s">
        <v>58</v>
      </c>
      <c r="B16" s="6" t="s">
        <v>14</v>
      </c>
      <c r="C16" s="73">
        <f>C11*1.5%</f>
        <v>3276</v>
      </c>
      <c r="D16" s="74"/>
    </row>
    <row r="17" spans="1:6">
      <c r="A17" s="33" t="s">
        <v>59</v>
      </c>
      <c r="B17" s="6" t="s">
        <v>38</v>
      </c>
      <c r="C17" s="73">
        <v>500</v>
      </c>
      <c r="D17" s="74"/>
      <c r="E17" s="1"/>
      <c r="F17" s="1"/>
    </row>
    <row r="18" spans="1:6">
      <c r="A18" s="33" t="s">
        <v>60</v>
      </c>
      <c r="B18" s="6" t="s">
        <v>0</v>
      </c>
      <c r="C18" s="73">
        <f>C12/60</f>
        <v>2391.6666666666665</v>
      </c>
      <c r="D18" s="74"/>
      <c r="E18" s="1"/>
      <c r="F18" s="1"/>
    </row>
    <row r="19" spans="1:6" ht="26.25">
      <c r="A19" s="33" t="s">
        <v>61</v>
      </c>
      <c r="B19" s="6" t="s">
        <v>46</v>
      </c>
      <c r="C19" s="73">
        <v>1500</v>
      </c>
      <c r="D19" s="74"/>
      <c r="E19" s="1"/>
      <c r="F19" s="1"/>
    </row>
    <row r="20" spans="1:6">
      <c r="A20" s="33" t="s">
        <v>62</v>
      </c>
      <c r="B20" s="6" t="s">
        <v>49</v>
      </c>
      <c r="C20" s="73">
        <v>3500</v>
      </c>
      <c r="D20" s="74"/>
      <c r="E20" s="1"/>
      <c r="F20" s="1"/>
    </row>
    <row r="21" spans="1:6" ht="26.25">
      <c r="A21" s="33" t="s">
        <v>64</v>
      </c>
      <c r="B21" s="6" t="s">
        <v>42</v>
      </c>
      <c r="C21" s="73">
        <f>23153/12</f>
        <v>1929.4166666666667</v>
      </c>
      <c r="D21" s="74"/>
      <c r="E21" s="1"/>
      <c r="F21" s="1"/>
    </row>
    <row r="22" spans="1:6">
      <c r="A22" s="32"/>
      <c r="B22" s="22" t="s">
        <v>11</v>
      </c>
      <c r="C22" s="83">
        <f>SUM(C15:C21)</f>
        <v>24347.083333333336</v>
      </c>
      <c r="D22" s="84"/>
      <c r="E22" s="1"/>
      <c r="F22" s="1"/>
    </row>
    <row r="23" spans="1:6">
      <c r="A23" s="32">
        <v>11</v>
      </c>
      <c r="B23" s="70" t="s">
        <v>72</v>
      </c>
      <c r="C23" s="71"/>
      <c r="D23" s="72"/>
      <c r="E23" s="1"/>
      <c r="F23" s="1"/>
    </row>
    <row r="24" spans="1:6">
      <c r="A24" s="33" t="s">
        <v>65</v>
      </c>
      <c r="B24" s="23" t="s">
        <v>40</v>
      </c>
      <c r="C24" s="66">
        <f>C6*C8</f>
        <v>84448</v>
      </c>
      <c r="D24" s="67"/>
      <c r="E24" s="1"/>
      <c r="F24" s="1"/>
    </row>
    <row r="25" spans="1:6">
      <c r="A25" s="33" t="s">
        <v>66</v>
      </c>
      <c r="B25" s="23" t="s">
        <v>12</v>
      </c>
      <c r="C25" s="66">
        <f>C7*C8</f>
        <v>10920</v>
      </c>
      <c r="D25" s="67"/>
      <c r="E25" s="1"/>
      <c r="F25" s="1"/>
    </row>
    <row r="26" spans="1:6">
      <c r="A26" s="33" t="s">
        <v>67</v>
      </c>
      <c r="B26" s="6" t="s">
        <v>13</v>
      </c>
      <c r="C26" s="66">
        <f>C13*C5*C8</f>
        <v>27300</v>
      </c>
      <c r="D26" s="67"/>
      <c r="E26" s="1"/>
      <c r="F26" s="1"/>
    </row>
    <row r="27" spans="1:6">
      <c r="A27" s="33" t="s">
        <v>68</v>
      </c>
      <c r="B27" s="6" t="s">
        <v>51</v>
      </c>
      <c r="C27" s="66">
        <f>C8*4%*C6</f>
        <v>3377.92</v>
      </c>
      <c r="D27" s="67"/>
      <c r="E27" s="1"/>
      <c r="F27" s="1"/>
    </row>
    <row r="28" spans="1:6" ht="26.25">
      <c r="A28" s="33" t="s">
        <v>69</v>
      </c>
      <c r="B28" s="6" t="s">
        <v>47</v>
      </c>
      <c r="C28" s="66">
        <f>C26*0.35</f>
        <v>9555</v>
      </c>
      <c r="D28" s="67"/>
      <c r="E28" s="1"/>
      <c r="F28" s="1"/>
    </row>
    <row r="29" spans="1:6" ht="39">
      <c r="A29" s="33" t="s">
        <v>70</v>
      </c>
      <c r="B29" s="6" t="s">
        <v>43</v>
      </c>
      <c r="C29" s="66">
        <f>(C11-25000)*1%</f>
        <v>1934</v>
      </c>
      <c r="D29" s="67"/>
      <c r="E29" s="1"/>
      <c r="F29" s="1"/>
    </row>
    <row r="30" spans="1:6">
      <c r="A30" s="32"/>
      <c r="B30" s="22" t="s">
        <v>11</v>
      </c>
      <c r="C30" s="68">
        <f>SUM(C24:D29)</f>
        <v>137534.91999999998</v>
      </c>
      <c r="D30" s="69"/>
      <c r="E30" s="1"/>
      <c r="F30" s="1"/>
    </row>
    <row r="31" spans="1:6">
      <c r="A31" s="32">
        <v>12</v>
      </c>
      <c r="B31" s="6" t="s">
        <v>44</v>
      </c>
      <c r="C31" s="66">
        <f>C11-C22-C30</f>
        <v>56517.996666666673</v>
      </c>
      <c r="D31" s="67"/>
      <c r="E31" s="1"/>
      <c r="F31" s="1"/>
    </row>
    <row r="32" spans="1:6">
      <c r="A32" s="32">
        <v>13</v>
      </c>
      <c r="B32" s="6" t="s">
        <v>45</v>
      </c>
      <c r="C32" s="66">
        <f>C11*0.06</f>
        <v>13104</v>
      </c>
      <c r="D32" s="67"/>
      <c r="E32" s="1"/>
      <c r="F32" s="1"/>
    </row>
    <row r="33" spans="1:6">
      <c r="A33" s="34">
        <v>14</v>
      </c>
      <c r="B33" s="28" t="s">
        <v>18</v>
      </c>
      <c r="C33" s="61">
        <f>C31-C32</f>
        <v>43413.996666666673</v>
      </c>
      <c r="D33" s="62"/>
      <c r="E33" s="1"/>
      <c r="F33" s="1"/>
    </row>
    <row r="34" spans="1:6" ht="15.75" thickBot="1">
      <c r="A34" s="35">
        <v>15</v>
      </c>
      <c r="B34" s="36" t="s">
        <v>48</v>
      </c>
      <c r="C34" s="63">
        <f>C33/C11</f>
        <v>0.19878203601953606</v>
      </c>
      <c r="D34" s="64"/>
    </row>
    <row r="36" spans="1:6">
      <c r="A36" s="65" t="s">
        <v>32</v>
      </c>
      <c r="B36" s="65"/>
      <c r="C36" s="65"/>
      <c r="D36" s="65"/>
    </row>
    <row r="37" spans="1:6">
      <c r="D37" s="9"/>
    </row>
  </sheetData>
  <mergeCells count="33">
    <mergeCell ref="C8:D8"/>
    <mergeCell ref="C6:D6"/>
    <mergeCell ref="C9:D9"/>
    <mergeCell ref="C12:D12"/>
    <mergeCell ref="C15:D15"/>
    <mergeCell ref="B23:D23"/>
    <mergeCell ref="B14:D14"/>
    <mergeCell ref="C20:D20"/>
    <mergeCell ref="C11:D11"/>
    <mergeCell ref="A2:D2"/>
    <mergeCell ref="C7:D7"/>
    <mergeCell ref="C10:D10"/>
    <mergeCell ref="C13:D13"/>
    <mergeCell ref="C4:D4"/>
    <mergeCell ref="C16:D16"/>
    <mergeCell ref="C17:D17"/>
    <mergeCell ref="C18:D18"/>
    <mergeCell ref="C19:D19"/>
    <mergeCell ref="C21:D21"/>
    <mergeCell ref="C22:D22"/>
    <mergeCell ref="C5:D5"/>
    <mergeCell ref="C33:D33"/>
    <mergeCell ref="C34:D34"/>
    <mergeCell ref="A36:D36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C5" sqref="C5:D5"/>
    </sheetView>
  </sheetViews>
  <sheetFormatPr defaultRowHeight="15"/>
  <cols>
    <col min="1" max="1" width="4.85546875" customWidth="1"/>
    <col min="2" max="2" width="29.28515625" customWidth="1"/>
    <col min="3" max="3" width="10.5703125" customWidth="1"/>
    <col min="4" max="4" width="9.85546875" customWidth="1"/>
  </cols>
  <sheetData>
    <row r="1" spans="1:5" ht="5.25" customHeight="1"/>
    <row r="2" spans="1:5" ht="31.5" customHeight="1">
      <c r="A2" s="93" t="s">
        <v>73</v>
      </c>
      <c r="B2" s="93"/>
      <c r="C2" s="93"/>
      <c r="D2" s="93"/>
    </row>
    <row r="3" spans="1:5" ht="3" customHeight="1"/>
    <row r="4" spans="1:5" ht="27.75" customHeight="1">
      <c r="A4" s="2" t="s">
        <v>30</v>
      </c>
      <c r="B4" s="2" t="s">
        <v>50</v>
      </c>
      <c r="C4" s="94" t="s">
        <v>82</v>
      </c>
      <c r="D4" s="95"/>
    </row>
    <row r="5" spans="1:5">
      <c r="A5" s="25">
        <v>1</v>
      </c>
      <c r="B5" s="6" t="s">
        <v>52</v>
      </c>
      <c r="C5" s="75">
        <v>150</v>
      </c>
      <c r="D5" s="75"/>
    </row>
    <row r="6" spans="1:5">
      <c r="A6" s="25">
        <v>2</v>
      </c>
      <c r="B6" s="6" t="s">
        <v>54</v>
      </c>
      <c r="C6" s="75">
        <v>58</v>
      </c>
      <c r="D6" s="75"/>
    </row>
    <row r="7" spans="1:5" ht="26.25">
      <c r="A7" s="25">
        <v>3</v>
      </c>
      <c r="B7" s="6" t="s">
        <v>55</v>
      </c>
      <c r="C7" s="75">
        <v>7.5</v>
      </c>
      <c r="D7" s="75"/>
    </row>
    <row r="8" spans="1:5">
      <c r="A8" s="29">
        <v>4</v>
      </c>
      <c r="B8" s="30" t="s">
        <v>39</v>
      </c>
      <c r="C8" s="96">
        <f>10*14*C9*C10</f>
        <v>473.2</v>
      </c>
      <c r="D8" s="96"/>
      <c r="E8" t="s">
        <v>74</v>
      </c>
    </row>
    <row r="9" spans="1:5">
      <c r="A9" s="25">
        <v>5</v>
      </c>
      <c r="B9" s="6" t="s">
        <v>8</v>
      </c>
      <c r="C9" s="85">
        <v>26</v>
      </c>
      <c r="D9" s="85"/>
    </row>
    <row r="10" spans="1:5" ht="26.25">
      <c r="A10" s="25">
        <v>6</v>
      </c>
      <c r="B10" s="6" t="s">
        <v>56</v>
      </c>
      <c r="C10" s="77">
        <v>0.13</v>
      </c>
      <c r="D10" s="77"/>
    </row>
    <row r="11" spans="1:5">
      <c r="A11" s="25">
        <v>7</v>
      </c>
      <c r="B11" s="6" t="s">
        <v>35</v>
      </c>
      <c r="C11" s="75">
        <f>C8*C5</f>
        <v>70980</v>
      </c>
      <c r="D11" s="75"/>
    </row>
    <row r="12" spans="1:5">
      <c r="A12" s="25">
        <v>8</v>
      </c>
      <c r="B12" s="6" t="s">
        <v>41</v>
      </c>
      <c r="C12" s="75">
        <v>143500</v>
      </c>
      <c r="D12" s="75"/>
    </row>
    <row r="13" spans="1:5" ht="27.75" customHeight="1">
      <c r="A13" s="25">
        <v>9</v>
      </c>
      <c r="B13" s="26" t="s">
        <v>63</v>
      </c>
      <c r="C13" s="79">
        <f>12.5%</f>
        <v>0.125</v>
      </c>
      <c r="D13" s="79"/>
    </row>
    <row r="14" spans="1:5">
      <c r="A14" s="6">
        <v>10</v>
      </c>
      <c r="B14" s="70" t="s">
        <v>71</v>
      </c>
      <c r="C14" s="71"/>
      <c r="D14" s="92"/>
    </row>
    <row r="15" spans="1:5">
      <c r="A15" s="24" t="s">
        <v>57</v>
      </c>
      <c r="B15" s="6" t="s">
        <v>37</v>
      </c>
      <c r="C15" s="73">
        <v>11250</v>
      </c>
      <c r="D15" s="73"/>
    </row>
    <row r="16" spans="1:5">
      <c r="A16" s="24" t="s">
        <v>58</v>
      </c>
      <c r="B16" s="6" t="s">
        <v>14</v>
      </c>
      <c r="C16" s="73">
        <f>C11*1.5%</f>
        <v>1064.7</v>
      </c>
      <c r="D16" s="73"/>
    </row>
    <row r="17" spans="1:6">
      <c r="A17" s="24" t="s">
        <v>59</v>
      </c>
      <c r="B17" s="6" t="s">
        <v>38</v>
      </c>
      <c r="C17" s="73">
        <v>500</v>
      </c>
      <c r="D17" s="73"/>
      <c r="E17" s="1"/>
      <c r="F17" s="1"/>
    </row>
    <row r="18" spans="1:6">
      <c r="A18" s="24" t="s">
        <v>60</v>
      </c>
      <c r="B18" s="6" t="s">
        <v>0</v>
      </c>
      <c r="C18" s="73">
        <f>C12/60</f>
        <v>2391.6666666666665</v>
      </c>
      <c r="D18" s="73"/>
      <c r="E18" s="1"/>
      <c r="F18" s="1"/>
    </row>
    <row r="19" spans="1:6" ht="26.25">
      <c r="A19" s="24" t="s">
        <v>61</v>
      </c>
      <c r="B19" s="6" t="s">
        <v>46</v>
      </c>
      <c r="C19" s="73">
        <v>1500</v>
      </c>
      <c r="D19" s="73"/>
      <c r="E19" s="1"/>
      <c r="F19" s="1"/>
    </row>
    <row r="20" spans="1:6">
      <c r="A20" s="24" t="s">
        <v>62</v>
      </c>
      <c r="B20" s="6" t="s">
        <v>49</v>
      </c>
      <c r="C20" s="73">
        <v>3500</v>
      </c>
      <c r="D20" s="73"/>
      <c r="E20" s="1"/>
      <c r="F20" s="1"/>
    </row>
    <row r="21" spans="1:6" ht="26.25">
      <c r="A21" s="24" t="s">
        <v>64</v>
      </c>
      <c r="B21" s="6" t="s">
        <v>42</v>
      </c>
      <c r="C21" s="73">
        <f>23153/12</f>
        <v>1929.4166666666667</v>
      </c>
      <c r="D21" s="73"/>
      <c r="E21" s="1"/>
      <c r="F21" s="1"/>
    </row>
    <row r="22" spans="1:6">
      <c r="A22" s="6"/>
      <c r="B22" s="22" t="s">
        <v>11</v>
      </c>
      <c r="C22" s="83">
        <f>SUM(C15:C21)</f>
        <v>22135.783333333336</v>
      </c>
      <c r="D22" s="83"/>
      <c r="E22" s="1"/>
      <c r="F22" s="1"/>
    </row>
    <row r="23" spans="1:6">
      <c r="A23" s="6">
        <v>11</v>
      </c>
      <c r="B23" s="70" t="s">
        <v>72</v>
      </c>
      <c r="C23" s="71"/>
      <c r="D23" s="92"/>
      <c r="E23" s="1"/>
      <c r="F23" s="1"/>
    </row>
    <row r="24" spans="1:6">
      <c r="A24" s="24" t="s">
        <v>65</v>
      </c>
      <c r="B24" s="23" t="s">
        <v>40</v>
      </c>
      <c r="C24" s="66">
        <f>C6*C8</f>
        <v>27445.599999999999</v>
      </c>
      <c r="D24" s="90"/>
      <c r="E24" s="1"/>
      <c r="F24" s="1"/>
    </row>
    <row r="25" spans="1:6">
      <c r="A25" s="24" t="s">
        <v>66</v>
      </c>
      <c r="B25" s="23" t="s">
        <v>12</v>
      </c>
      <c r="C25" s="66">
        <f>C7*C8</f>
        <v>3549</v>
      </c>
      <c r="D25" s="90"/>
      <c r="E25" s="1"/>
      <c r="F25" s="1"/>
    </row>
    <row r="26" spans="1:6">
      <c r="A26" s="24" t="s">
        <v>67</v>
      </c>
      <c r="B26" s="6" t="s">
        <v>13</v>
      </c>
      <c r="C26" s="66">
        <f>C13*C5*C8</f>
        <v>8872.5</v>
      </c>
      <c r="D26" s="90"/>
      <c r="E26" s="1"/>
      <c r="F26" s="1"/>
    </row>
    <row r="27" spans="1:6">
      <c r="A27" s="24" t="s">
        <v>68</v>
      </c>
      <c r="B27" s="6" t="s">
        <v>51</v>
      </c>
      <c r="C27" s="66">
        <f>C8*4%*C6</f>
        <v>1097.8240000000001</v>
      </c>
      <c r="D27" s="90"/>
      <c r="E27" s="1"/>
      <c r="F27" s="1"/>
    </row>
    <row r="28" spans="1:6" ht="26.25">
      <c r="A28" s="24" t="s">
        <v>69</v>
      </c>
      <c r="B28" s="6" t="s">
        <v>47</v>
      </c>
      <c r="C28" s="66">
        <f>C26*0.35</f>
        <v>3105.375</v>
      </c>
      <c r="D28" s="90"/>
      <c r="E28" s="1"/>
      <c r="F28" s="1"/>
    </row>
    <row r="29" spans="1:6" ht="39">
      <c r="A29" s="24" t="s">
        <v>70</v>
      </c>
      <c r="B29" s="6" t="s">
        <v>43</v>
      </c>
      <c r="C29" s="66">
        <f>(C11-25000)*1%</f>
        <v>459.8</v>
      </c>
      <c r="D29" s="90"/>
      <c r="E29" s="1"/>
      <c r="F29" s="1"/>
    </row>
    <row r="30" spans="1:6">
      <c r="A30" s="6"/>
      <c r="B30" s="22" t="s">
        <v>11</v>
      </c>
      <c r="C30" s="68">
        <f>SUM(C24:D29)</f>
        <v>44530.099000000002</v>
      </c>
      <c r="D30" s="91"/>
      <c r="E30" s="1"/>
      <c r="F30" s="1"/>
    </row>
    <row r="31" spans="1:6">
      <c r="A31" s="6">
        <v>12</v>
      </c>
      <c r="B31" s="6" t="s">
        <v>44</v>
      </c>
      <c r="C31" s="66">
        <f>C11-C22-C30</f>
        <v>4314.1176666666579</v>
      </c>
      <c r="D31" s="90"/>
      <c r="E31" s="1"/>
      <c r="F31" s="1"/>
    </row>
    <row r="32" spans="1:6">
      <c r="A32" s="6">
        <v>13</v>
      </c>
      <c r="B32" s="6" t="s">
        <v>45</v>
      </c>
      <c r="C32" s="66">
        <f>C11*0.06</f>
        <v>4258.8</v>
      </c>
      <c r="D32" s="90"/>
      <c r="E32" s="1"/>
      <c r="F32" s="1"/>
    </row>
    <row r="33" spans="1:6">
      <c r="A33" s="27">
        <v>14</v>
      </c>
      <c r="B33" s="28" t="s">
        <v>18</v>
      </c>
      <c r="C33" s="61">
        <f>C31-C32</f>
        <v>55.317666666657715</v>
      </c>
      <c r="D33" s="87"/>
      <c r="E33" s="1"/>
      <c r="F33" s="1"/>
    </row>
    <row r="34" spans="1:6">
      <c r="A34" s="27">
        <v>15</v>
      </c>
      <c r="B34" s="28" t="s">
        <v>48</v>
      </c>
      <c r="C34" s="88">
        <f>C33/C11</f>
        <v>7.793415985722417E-4</v>
      </c>
      <c r="D34" s="89"/>
    </row>
    <row r="36" spans="1:6">
      <c r="A36" s="65" t="s">
        <v>32</v>
      </c>
      <c r="B36" s="65"/>
      <c r="C36" s="65"/>
      <c r="D36" s="65"/>
    </row>
  </sheetData>
  <mergeCells count="33">
    <mergeCell ref="B14:D14"/>
    <mergeCell ref="A2:D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25:D25"/>
    <mergeCell ref="C33:D33"/>
    <mergeCell ref="C34:D34"/>
    <mergeCell ref="A36:D36"/>
    <mergeCell ref="C27:D27"/>
    <mergeCell ref="C28:D28"/>
    <mergeCell ref="C29:D29"/>
    <mergeCell ref="C30:D30"/>
    <mergeCell ref="C31:D31"/>
    <mergeCell ref="C32:D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topLeftCell="A10" workbookViewId="0">
      <selection activeCell="C8" sqref="C8:D8"/>
    </sheetView>
  </sheetViews>
  <sheetFormatPr defaultRowHeight="15"/>
  <cols>
    <col min="1" max="1" width="4.85546875" customWidth="1"/>
    <col min="2" max="2" width="29.28515625" customWidth="1"/>
    <col min="3" max="3" width="10.5703125" customWidth="1"/>
    <col min="4" max="4" width="9.85546875" customWidth="1"/>
  </cols>
  <sheetData>
    <row r="1" spans="1:5" ht="7.5" customHeight="1"/>
    <row r="2" spans="1:5" ht="16.5" customHeight="1">
      <c r="A2" s="93" t="s">
        <v>80</v>
      </c>
      <c r="B2" s="93"/>
      <c r="C2" s="93"/>
      <c r="D2" s="93"/>
    </row>
    <row r="3" spans="1:5" ht="8.25" customHeight="1" thickBot="1"/>
    <row r="4" spans="1:5" ht="27.75" customHeight="1">
      <c r="A4" s="10" t="s">
        <v>30</v>
      </c>
      <c r="B4" s="11" t="s">
        <v>50</v>
      </c>
      <c r="C4" s="81" t="s">
        <v>82</v>
      </c>
      <c r="D4" s="82"/>
    </row>
    <row r="5" spans="1:5">
      <c r="A5" s="31">
        <v>1</v>
      </c>
      <c r="B5" s="6" t="s">
        <v>52</v>
      </c>
      <c r="C5" s="75">
        <v>190</v>
      </c>
      <c r="D5" s="76"/>
      <c r="E5" t="s">
        <v>76</v>
      </c>
    </row>
    <row r="6" spans="1:5">
      <c r="A6" s="31">
        <v>2</v>
      </c>
      <c r="B6" s="6" t="s">
        <v>54</v>
      </c>
      <c r="C6" s="75">
        <v>58</v>
      </c>
      <c r="D6" s="76"/>
    </row>
    <row r="7" spans="1:5" ht="26.25">
      <c r="A7" s="31">
        <v>3</v>
      </c>
      <c r="B7" s="6" t="s">
        <v>55</v>
      </c>
      <c r="C7" s="75">
        <v>7.5</v>
      </c>
      <c r="D7" s="76"/>
    </row>
    <row r="8" spans="1:5">
      <c r="A8" s="37">
        <v>4</v>
      </c>
      <c r="B8" s="30" t="s">
        <v>39</v>
      </c>
      <c r="C8" s="96">
        <f>10*14*C9*C10</f>
        <v>218.4</v>
      </c>
      <c r="D8" s="97"/>
      <c r="E8" t="s">
        <v>86</v>
      </c>
    </row>
    <row r="9" spans="1:5">
      <c r="A9" s="31">
        <v>5</v>
      </c>
      <c r="B9" s="6" t="s">
        <v>8</v>
      </c>
      <c r="C9" s="85">
        <v>26</v>
      </c>
      <c r="D9" s="86"/>
    </row>
    <row r="10" spans="1:5">
      <c r="A10" s="31">
        <v>6</v>
      </c>
      <c r="B10" s="6" t="s">
        <v>75</v>
      </c>
      <c r="C10" s="77">
        <v>0.06</v>
      </c>
      <c r="D10" s="78"/>
    </row>
    <row r="11" spans="1:5">
      <c r="A11" s="31">
        <v>7</v>
      </c>
      <c r="B11" s="6" t="s">
        <v>35</v>
      </c>
      <c r="C11" s="75">
        <f>C8*C5</f>
        <v>41496</v>
      </c>
      <c r="D11" s="76"/>
    </row>
    <row r="12" spans="1:5">
      <c r="A12" s="31">
        <v>8</v>
      </c>
      <c r="B12" s="6" t="s">
        <v>41</v>
      </c>
      <c r="C12" s="75">
        <v>71250</v>
      </c>
      <c r="D12" s="76"/>
      <c r="E12" t="s">
        <v>81</v>
      </c>
    </row>
    <row r="13" spans="1:5" ht="27.75" customHeight="1">
      <c r="A13" s="31">
        <v>9</v>
      </c>
      <c r="B13" s="26" t="s">
        <v>63</v>
      </c>
      <c r="C13" s="79">
        <f>12.5%</f>
        <v>0.125</v>
      </c>
      <c r="D13" s="80"/>
    </row>
    <row r="14" spans="1:5">
      <c r="A14" s="32">
        <v>10</v>
      </c>
      <c r="B14" s="70" t="s">
        <v>71</v>
      </c>
      <c r="C14" s="71"/>
      <c r="D14" s="72"/>
    </row>
    <row r="15" spans="1:5">
      <c r="A15" s="33" t="s">
        <v>57</v>
      </c>
      <c r="B15" s="6" t="s">
        <v>37</v>
      </c>
      <c r="C15" s="73">
        <v>3750</v>
      </c>
      <c r="D15" s="74"/>
      <c r="E15" t="s">
        <v>77</v>
      </c>
    </row>
    <row r="16" spans="1:5">
      <c r="A16" s="33" t="s">
        <v>58</v>
      </c>
      <c r="B16" s="6" t="s">
        <v>14</v>
      </c>
      <c r="C16" s="73">
        <f>C11*1.5%</f>
        <v>622.43999999999994</v>
      </c>
      <c r="D16" s="74"/>
    </row>
    <row r="17" spans="1:6">
      <c r="A17" s="33" t="s">
        <v>59</v>
      </c>
      <c r="B17" s="6" t="s">
        <v>38</v>
      </c>
      <c r="C17" s="73">
        <v>500</v>
      </c>
      <c r="D17" s="74"/>
      <c r="E17" s="1"/>
      <c r="F17" s="1"/>
    </row>
    <row r="18" spans="1:6">
      <c r="A18" s="33" t="s">
        <v>60</v>
      </c>
      <c r="B18" s="6" t="s">
        <v>0</v>
      </c>
      <c r="C18" s="73">
        <f>C12/60</f>
        <v>1187.5</v>
      </c>
      <c r="D18" s="74"/>
      <c r="E18" s="1"/>
      <c r="F18" s="1"/>
    </row>
    <row r="19" spans="1:6" ht="26.25">
      <c r="A19" s="33" t="s">
        <v>61</v>
      </c>
      <c r="B19" s="6" t="s">
        <v>46</v>
      </c>
      <c r="C19" s="73">
        <v>0</v>
      </c>
      <c r="D19" s="74"/>
      <c r="E19" t="s">
        <v>78</v>
      </c>
      <c r="F19" s="1"/>
    </row>
    <row r="20" spans="1:6">
      <c r="A20" s="33" t="s">
        <v>62</v>
      </c>
      <c r="B20" s="6" t="s">
        <v>49</v>
      </c>
      <c r="C20" s="73">
        <v>8500</v>
      </c>
      <c r="D20" s="74"/>
      <c r="E20" t="s">
        <v>79</v>
      </c>
      <c r="F20" s="1"/>
    </row>
    <row r="21" spans="1:6" ht="26.25">
      <c r="A21" s="33" t="s">
        <v>64</v>
      </c>
      <c r="B21" s="6" t="s">
        <v>42</v>
      </c>
      <c r="C21" s="73">
        <f>23153/12</f>
        <v>1929.4166666666667</v>
      </c>
      <c r="D21" s="74"/>
      <c r="E21" s="1"/>
      <c r="F21" s="1"/>
    </row>
    <row r="22" spans="1:6">
      <c r="A22" s="32"/>
      <c r="B22" s="22" t="s">
        <v>11</v>
      </c>
      <c r="C22" s="83">
        <f>SUM(C15:C21)</f>
        <v>16489.356666666667</v>
      </c>
      <c r="D22" s="84"/>
      <c r="E22" s="1"/>
      <c r="F22" s="1"/>
    </row>
    <row r="23" spans="1:6">
      <c r="A23" s="32">
        <v>11</v>
      </c>
      <c r="B23" s="70" t="s">
        <v>72</v>
      </c>
      <c r="C23" s="71"/>
      <c r="D23" s="72"/>
      <c r="E23" s="1"/>
      <c r="F23" s="1"/>
    </row>
    <row r="24" spans="1:6">
      <c r="A24" s="33" t="s">
        <v>65</v>
      </c>
      <c r="B24" s="23" t="s">
        <v>40</v>
      </c>
      <c r="C24" s="66">
        <f>C6*C8</f>
        <v>12667.2</v>
      </c>
      <c r="D24" s="67"/>
      <c r="E24" s="1"/>
      <c r="F24" s="1"/>
    </row>
    <row r="25" spans="1:6">
      <c r="A25" s="33" t="s">
        <v>66</v>
      </c>
      <c r="B25" s="23" t="s">
        <v>12</v>
      </c>
      <c r="C25" s="66">
        <f>C7*C8</f>
        <v>1638</v>
      </c>
      <c r="D25" s="67"/>
      <c r="E25" s="1"/>
      <c r="F25" s="1"/>
    </row>
    <row r="26" spans="1:6">
      <c r="A26" s="33" t="s">
        <v>67</v>
      </c>
      <c r="B26" s="6" t="s">
        <v>13</v>
      </c>
      <c r="C26" s="66">
        <f>C13*C5*C8</f>
        <v>5187</v>
      </c>
      <c r="D26" s="67"/>
      <c r="E26" s="1"/>
      <c r="F26" s="1"/>
    </row>
    <row r="27" spans="1:6">
      <c r="A27" s="33" t="s">
        <v>68</v>
      </c>
      <c r="B27" s="6" t="s">
        <v>51</v>
      </c>
      <c r="C27" s="66">
        <f>C8*4%*C6</f>
        <v>506.68800000000005</v>
      </c>
      <c r="D27" s="67"/>
      <c r="E27" s="1"/>
      <c r="F27" s="1"/>
    </row>
    <row r="28" spans="1:6" ht="26.25">
      <c r="A28" s="33" t="s">
        <v>69</v>
      </c>
      <c r="B28" s="6" t="s">
        <v>47</v>
      </c>
      <c r="C28" s="66">
        <f>C26*0.35</f>
        <v>1815.4499999999998</v>
      </c>
      <c r="D28" s="67"/>
      <c r="E28" s="1"/>
      <c r="F28" s="1"/>
    </row>
    <row r="29" spans="1:6" ht="39">
      <c r="A29" s="33" t="s">
        <v>70</v>
      </c>
      <c r="B29" s="6" t="s">
        <v>43</v>
      </c>
      <c r="C29" s="66">
        <f>(C11-25000)*1%</f>
        <v>164.96</v>
      </c>
      <c r="D29" s="67"/>
      <c r="E29" s="1"/>
      <c r="F29" s="1"/>
    </row>
    <row r="30" spans="1:6">
      <c r="A30" s="32"/>
      <c r="B30" s="22" t="s">
        <v>11</v>
      </c>
      <c r="C30" s="68">
        <f>SUM(C24:D29)</f>
        <v>21979.297999999999</v>
      </c>
      <c r="D30" s="69"/>
      <c r="E30" s="1"/>
      <c r="F30" s="1"/>
    </row>
    <row r="31" spans="1:6">
      <c r="A31" s="32">
        <v>12</v>
      </c>
      <c r="B31" s="6" t="s">
        <v>44</v>
      </c>
      <c r="C31" s="66">
        <f>C11-C22-C30</f>
        <v>3027.3453333333346</v>
      </c>
      <c r="D31" s="67"/>
      <c r="E31" s="1"/>
      <c r="F31" s="1"/>
    </row>
    <row r="32" spans="1:6">
      <c r="A32" s="32">
        <v>13</v>
      </c>
      <c r="B32" s="6" t="s">
        <v>45</v>
      </c>
      <c r="C32" s="66">
        <f>C11*0.06</f>
        <v>2489.7599999999998</v>
      </c>
      <c r="D32" s="67"/>
      <c r="E32" s="1"/>
      <c r="F32" s="1"/>
    </row>
    <row r="33" spans="1:6">
      <c r="A33" s="34">
        <v>14</v>
      </c>
      <c r="B33" s="28" t="s">
        <v>18</v>
      </c>
      <c r="C33" s="61">
        <f>C31-C32</f>
        <v>537.5853333333348</v>
      </c>
      <c r="D33" s="62"/>
      <c r="E33" s="1"/>
      <c r="F33" s="1"/>
    </row>
    <row r="34" spans="1:6" ht="15.75" thickBot="1">
      <c r="A34" s="35">
        <v>15</v>
      </c>
      <c r="B34" s="36" t="s">
        <v>48</v>
      </c>
      <c r="C34" s="63">
        <f>C33/C11</f>
        <v>1.29551121393227E-2</v>
      </c>
      <c r="D34" s="64"/>
    </row>
    <row r="36" spans="1:6">
      <c r="A36" s="65" t="s">
        <v>32</v>
      </c>
      <c r="B36" s="65"/>
      <c r="C36" s="65"/>
      <c r="D36" s="65"/>
    </row>
  </sheetData>
  <mergeCells count="33">
    <mergeCell ref="B14:D14"/>
    <mergeCell ref="A2:D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25:D25"/>
    <mergeCell ref="C33:D33"/>
    <mergeCell ref="C34:D34"/>
    <mergeCell ref="A36:D36"/>
    <mergeCell ref="C27:D27"/>
    <mergeCell ref="C28:D28"/>
    <mergeCell ref="C29:D29"/>
    <mergeCell ref="C30:D30"/>
    <mergeCell ref="C31:D31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Расчёт финансового потока</vt:lpstr>
      <vt:lpstr>Затраты на оснащение</vt:lpstr>
      <vt:lpstr>Расчет месячной выручки</vt:lpstr>
      <vt:lpstr>Расчёт чистой прибыли</vt:lpstr>
      <vt:lpstr>ТБ стационарного кабинета</vt:lpstr>
      <vt:lpstr>ТБ на выезде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2016-04-04T07:59:27Z</dcterms:created>
  <dcterms:modified xsi:type="dcterms:W3CDTF">2016-04-18T08:02:13Z</dcterms:modified>
</cp:coreProperties>
</file>